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35" documentId="8_{3FFAC860-468A-45EB-AB16-B3D40B79E3E9}" xr6:coauthVersionLast="47" xr6:coauthVersionMax="47" xr10:uidLastSave="{5C8A8BB3-709A-481E-B963-88A9E568C2E0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<sst xmlns="http://schemas.openxmlformats.org/spreadsheetml/2006/main" count="645" uniqueCount="347">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</sst>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14" zoomScaleNormal="100" workbookViewId="0">
      <selection activeCell="D41" sqref="D41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25725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54" t="s">
        <v>206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54" t="s">
        <v>121</v>
      </c>
      <c r="E7" s="156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54" t="s">
        <v>276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54" t="s">
        <v>131</v>
      </c>
      <c r="E9" s="156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46934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25725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3000</v>
      </c>
      <c r="H18" s="147"/>
      <c r="I18" s="146">
        <f>(I19+I20+I21)</f>
        <v>3063</v>
      </c>
      <c r="J18" s="147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3000</v>
      </c>
      <c r="O18" s="110">
        <f>VLOOKUP(($D$4),Parameters!$A$4:$R$71,$N$7,FALSE)</f>
        <v>3000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1700</v>
      </c>
      <c r="H19" s="147"/>
      <c r="I19" s="146">
        <f>IF(G19="-","-",G19*(100%+Parameters!$B$84))</f>
        <v>1751</v>
      </c>
      <c r="J19" s="147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IF(ISERROR(O19),(VLOOKUP($D$9,Parameters!$A$4:$R$71,$N$7+3,FALSE)),O19)</f>
        <v>1700</v>
      </c>
      <c r="O19" s="110">
        <f>VLOOKUP($D$4,Parameters!$A$4:$R$71,$N$7+3,FALSE)</f>
        <v>1700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900</v>
      </c>
      <c r="H20" s="147"/>
      <c r="I20" s="146">
        <f>IF(G20="-","-",G20*(100%))</f>
        <v>900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900</v>
      </c>
      <c r="O20" s="110">
        <f>VLOOKUP($D$4,Parameters!$A$4:$R$71,$N$7+6,FALSE)</f>
        <v>900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400</v>
      </c>
      <c r="H21" s="147"/>
      <c r="I21" s="146">
        <f>IF(G21="-","-",G21*(100%+Parameters!$B$84))</f>
        <v>412</v>
      </c>
      <c r="J21" s="147"/>
      <c r="K21" s="105" t="s">
        <v>34</v>
      </c>
      <c r="M21" s="94" t="s">
        <v>34</v>
      </c>
      <c r="N21" s="109">
        <f>IF(ISERROR(O21),(VLOOKUP($D$9,Parameters!$A$4:$R$71,$N$7+9,FALSE)),O21)</f>
        <v>400</v>
      </c>
      <c r="O21" s="110">
        <f>VLOOKUP($D$4,Parameters!$A$4:$R$71,$N$7+9,FALSE)</f>
        <v>400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650</v>
      </c>
      <c r="H22" s="147"/>
      <c r="I22" s="146">
        <f>IF(G22="-","-",G22*(100%+Parameters!$B$84))</f>
        <v>669.5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650</v>
      </c>
      <c r="O22" s="110">
        <f>VLOOKUP($D$4,Parameters!$A$4:$R$71,$N$7+12,FALSE)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30</v>
      </c>
      <c r="E26" s="141">
        <f>(D26*Parameters!$B$85)/60</f>
        <v>25</v>
      </c>
      <c r="F26" s="142"/>
      <c r="G26" s="124">
        <f>IF($N$6="BOL",Parameters!C78,Parameters!B78)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30</v>
      </c>
      <c r="E27" s="141">
        <f>(D27*Parameters!$B$85)/60</f>
        <v>25</v>
      </c>
      <c r="F27" s="142"/>
      <c r="G27" s="124">
        <f>IF($N$6="BOL",Parameters!C79,Parameters!B79)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N22*(100%+Parameters!$B$84)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>
        <v>0</v>
      </c>
      <c r="E28" s="141">
        <f>(D28*Parameters!$B$85)/60</f>
        <v>0</v>
      </c>
      <c r="F28" s="142"/>
      <c r="G28" s="124">
        <f>IF($N$6="BOL",Parameters!C80,Parameters!B80)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30</v>
      </c>
      <c r="E29" s="141">
        <f>(D29*Parameters!$B$85)/60</f>
        <v>25</v>
      </c>
      <c r="F29" s="142"/>
      <c r="G29" s="124">
        <f>IF($N$6="BOL",Parameters!C81,Parameters!B81)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>Leerjaar 2</v>
      </c>
      <c r="C32" s="113" t="s">
        <v>46</v>
      </c>
      <c r="D32" s="126">
        <v>30</v>
      </c>
      <c r="E32" s="141">
        <f>(D32*Parameters!$B$85)/60</f>
        <v>25</v>
      </c>
      <c r="F32" s="142"/>
      <c r="G32" s="124">
        <f>IF($N$11&gt;=2,IF($N$6="BOL",Parameters!C78,Parameters!B78),"-")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>
        <v>0</v>
      </c>
      <c r="E33" s="141">
        <f>(D33*Parameters!$B$85)/60</f>
        <v>0</v>
      </c>
      <c r="F33" s="142"/>
      <c r="G33" s="124">
        <f>IF($N$11&gt;=2,IF($N$6="BOL",Parameters!C79,Parameters!B79),"-")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>
        <v>30</v>
      </c>
      <c r="E34" s="141">
        <f>(D34*Parameters!$B$85)/60</f>
        <v>25</v>
      </c>
      <c r="F34" s="142"/>
      <c r="G34" s="124">
        <f>IF($N$11&gt;=2,IF($N$6="BOL",Parameters!C80,Parameters!B80),"-")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>
        <v>30</v>
      </c>
      <c r="E35" s="141">
        <f>(D35*Parameters!$B$85)/60</f>
        <v>25</v>
      </c>
      <c r="F35" s="142"/>
      <c r="G35" s="124">
        <f>IF($N$11&gt;=2,IF($N$6="BOL",Parameters!C81,Parameters!B81),"-")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53</v>
      </c>
      <c r="N35" s="109">
        <f>IF($N$6="BOL",N32*1000/10,IF($N$6="BBL",N32*850/10,0))*(100%+Parameters!$B$84)</f>
        <v>1030</v>
      </c>
      <c r="O35" s="110">
        <f>N35/(100%+Parameters!$B$84)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>Leerjaar 3</v>
      </c>
      <c r="C38" s="113" t="s">
        <v>46</v>
      </c>
      <c r="D38" s="126">
        <v>0</v>
      </c>
      <c r="E38" s="141">
        <f>(D38*Parameters!$B$85)/60</f>
        <v>0</v>
      </c>
      <c r="F38" s="142"/>
      <c r="G38" s="124">
        <f>IF($N$11&gt;=3,IF($N$6="BOL",Parameters!C78,Parameters!B78),"-")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3">
      <c r="B39" s="140"/>
      <c r="C39" s="113" t="s">
        <v>48</v>
      </c>
      <c r="D39" s="126">
        <v>30</v>
      </c>
      <c r="E39" s="141">
        <f>(D39*Parameters!$B$85)/60</f>
        <v>25</v>
      </c>
      <c r="F39" s="142"/>
      <c r="G39" s="124">
        <f>IF($N$11&gt;=3,IF($N$6="BOL",Parameters!C79,Parameters!B79),"-")</f>
        <v>9.5</v>
      </c>
      <c r="H39" s="125">
        <f t="shared" ref="H39:H41" si="2">IF(G39&lt;&gt;"-",E39*G39,0)</f>
        <v>237.5</v>
      </c>
      <c r="I39" s="126">
        <v>0</v>
      </c>
      <c r="J39" s="126"/>
      <c r="K39" s="125">
        <f>J39+I39+H39</f>
        <v>237.5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>
        <v>15</v>
      </c>
      <c r="E40" s="141">
        <f>(D40*Parameters!$B$85)/60</f>
        <v>12.5</v>
      </c>
      <c r="F40" s="142"/>
      <c r="G40" s="124">
        <f>IF($N$11&gt;=3,IF($N$6="BOL",Parameters!C80,Parameters!B80),"-")</f>
        <v>9.5</v>
      </c>
      <c r="H40" s="125">
        <f t="shared" si="2"/>
        <v>118.75</v>
      </c>
      <c r="I40" s="126">
        <v>0</v>
      </c>
      <c r="J40" s="126">
        <v>208</v>
      </c>
      <c r="K40" s="125">
        <f>J40+I40+H40</f>
        <v>326.75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/>
      <c r="E41" s="141">
        <f>(D41*Parameters!$B$85)/60</f>
        <v>0</v>
      </c>
      <c r="F41" s="142"/>
      <c r="G41" s="124">
        <f>IF($N$11&gt;=3,IF($N$6="BOL",Parameters!C81,Parameters!B81),"-")</f>
        <v>8.5</v>
      </c>
      <c r="H41" s="125">
        <f t="shared" si="2"/>
        <v>0</v>
      </c>
      <c r="I41" s="126">
        <v>0</v>
      </c>
      <c r="J41" s="126">
        <v>207</v>
      </c>
      <c r="K41" s="125">
        <f>J41+I41+H41</f>
        <v>207</v>
      </c>
      <c r="M41" s="101" t="s">
        <v>53</v>
      </c>
      <c r="N41" s="109">
        <f>IF($N$6="BOL",N38*1000/10,IF($N$6="BBL",N38*850/10,0))*(100%+Parameters!$B$84)</f>
        <v>1030</v>
      </c>
      <c r="O41" s="110">
        <f>N41/(100%+Parameters!$B$84)</f>
        <v>1000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356.25</v>
      </c>
      <c r="I42" s="130">
        <f>SUM(I38:I41)</f>
        <v>0</v>
      </c>
      <c r="J42" s="131">
        <f>SUM(J38:J41)</f>
        <v>765</v>
      </c>
      <c r="K42" s="131">
        <f>SUM(K38:K41)</f>
        <v>1121.25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(D44*Parameters!$B$85)/60</f>
        <v>0</v>
      </c>
      <c r="F44" s="142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>
        <v>0</v>
      </c>
      <c r="E45" s="141">
        <f>(D45*Parameters!$B$85)/60</f>
        <v>0</v>
      </c>
      <c r="F45" s="142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(D46*Parameters!$B$85)/60</f>
        <v>0</v>
      </c>
      <c r="F46" s="142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(D47*Parameters!$B$85)/60</f>
        <v>0</v>
      </c>
      <c r="F47" s="142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1731.25</v>
      </c>
      <c r="J51" s="105">
        <f>J48+J42+J36+J30</f>
        <v>1465</v>
      </c>
      <c r="K51" s="134">
        <f>K48+K42+K36+K30</f>
        <v>3196.25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Finance &amp; Control (Business Administration &amp; Control Specialist)</v>
      </c>
      <c r="D2" s="171"/>
      <c r="E2" s="171"/>
      <c r="F2" s="172"/>
    </row>
    <row r="3" spans="2:6" ht="17.100000000000001" customHeight="1" x14ac:dyDescent="0.3">
      <c r="B3" s="47" t="s">
        <v>59</v>
      </c>
      <c r="C3" t="str">
        <f>LEFT(Programmering!$D$6,5)</f>
        <v>25725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46934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9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9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3">
      <c r="B11" s="170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8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3">
      <c r="B16" s="169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3">
      <c r="B17" s="170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 x14ac:dyDescent="0.3">
      <c r="B18" s="164" t="str">
        <f>IF(Programmering!G36="","","Totaal ")</f>
        <v xml:space="preserve">Totaal </v>
      </c>
      <c r="C18" s="165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9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 x14ac:dyDescent="0.3">
      <c r="B21" s="169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 x14ac:dyDescent="0.3">
      <c r="B22" s="169"/>
      <c r="C22" s="28">
        <v>3</v>
      </c>
      <c r="D22" s="29">
        <f>Programmering!H40+Programmering!I40</f>
        <v>118.75</v>
      </c>
      <c r="E22" s="29">
        <f>Programmering!J40</f>
        <v>208</v>
      </c>
      <c r="F22" s="29">
        <f>Programmering!K40</f>
        <v>326.75</v>
      </c>
    </row>
    <row r="23" spans="2:6" ht="17.100000000000001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207</v>
      </c>
      <c r="F23" s="29">
        <f>Programmering!K41</f>
        <v>207</v>
      </c>
    </row>
    <row r="24" spans="2:6" ht="17.100000000000001" customHeight="1" x14ac:dyDescent="0.3">
      <c r="B24" s="164" t="str">
        <f>IF(Programmering!G42="","","Totaal ")</f>
        <v xml:space="preserve">Totaal </v>
      </c>
      <c r="C24" s="165"/>
      <c r="D24" s="32">
        <f>Programmering!H42+Programmering!I42</f>
        <v>356.25</v>
      </c>
      <c r="E24" s="32">
        <f>Programmering!J42</f>
        <v>765</v>
      </c>
      <c r="F24" s="32">
        <f>Programmering!K42</f>
        <v>1121.25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6" t="s">
        <v>66</v>
      </c>
      <c r="C32" s="167"/>
      <c r="D32" s="51">
        <f>Programmering!I51</f>
        <v>1731.25</v>
      </c>
      <c r="E32" s="52">
        <f>Programmering!J51</f>
        <v>1465</v>
      </c>
      <c r="F32" s="52">
        <f>Programmering!K51</f>
        <v>3196.25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25725</v>
      </c>
      <c r="C3" t="str">
        <f>RIGHT(Programmering!D6,LEN(Programmering!D6)-8)</f>
        <v>Finance &amp; Control (Business Administration &amp; Control Specialist)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46934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118.75</v>
      </c>
      <c r="AO3" s="22">
        <f>Programmering!J40</f>
        <v>208</v>
      </c>
      <c r="AP3" s="22">
        <f>Programmering!H41+Programmering!I41</f>
        <v>0</v>
      </c>
      <c r="AQ3" s="22">
        <f>Programmering!J41</f>
        <v>207</v>
      </c>
      <c r="AR3" s="22">
        <f>Programmering!H42+Programmering!I42</f>
        <v>356.25</v>
      </c>
      <c r="AS3" s="22">
        <f>Programmering!J42</f>
        <v>765</v>
      </c>
      <c r="AT3" s="22">
        <f>Programmering!K42</f>
        <v>1121.25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d69e31-f0bd-42d4-87d4-1be2377d378d">
      <Terms xmlns="http://schemas.microsoft.com/office/infopath/2007/PartnerControls"/>
    </lcf76f155ced4ddcb4097134ff3c332f>
    <TaxCatchAll xmlns="f1a56d87-30b2-44cb-ae45-9947631b6f04" xsi:nil="true"/>
    <DefaultSectionNames xmlns="7ad69e31-f0bd-42d4-87d4-1be2377d378d" xsi:nil="true"/>
    <LMS_Mappings xmlns="7ad69e31-f0bd-42d4-87d4-1be2377d378d" xsi:nil="true"/>
    <IsNotebookLocked xmlns="7ad69e31-f0bd-42d4-87d4-1be2377d378d" xsi:nil="true"/>
    <FolderType xmlns="7ad69e31-f0bd-42d4-87d4-1be2377d378d" xsi:nil="true"/>
    <Members xmlns="7ad69e31-f0bd-42d4-87d4-1be2377d378d">
      <UserInfo>
        <DisplayName/>
        <AccountId xsi:nil="true"/>
        <AccountType/>
      </UserInfo>
    </Members>
    <Invited_Members xmlns="7ad69e31-f0bd-42d4-87d4-1be2377d378d" xsi:nil="true"/>
    <Member_Groups xmlns="7ad69e31-f0bd-42d4-87d4-1be2377d378d">
      <UserInfo>
        <DisplayName/>
        <AccountId xsi:nil="true"/>
        <AccountType/>
      </UserInfo>
    </Member_Groups>
    <Self_Registration_Enabled xmlns="7ad69e31-f0bd-42d4-87d4-1be2377d378d" xsi:nil="true"/>
    <Has_Leaders_Only_SectionGroup xmlns="7ad69e31-f0bd-42d4-87d4-1be2377d378d" xsi:nil="true"/>
    <Is_Collaboration_Space_Locked xmlns="7ad69e31-f0bd-42d4-87d4-1be2377d378d" xsi:nil="true"/>
    <Teams_Channel_Section_Location xmlns="7ad69e31-f0bd-42d4-87d4-1be2377d378d" xsi:nil="true"/>
    <NotebookType xmlns="7ad69e31-f0bd-42d4-87d4-1be2377d378d" xsi:nil="true"/>
    <CultureName xmlns="7ad69e31-f0bd-42d4-87d4-1be2377d378d" xsi:nil="true"/>
    <Leaders xmlns="7ad69e31-f0bd-42d4-87d4-1be2377d378d">
      <UserInfo>
        <DisplayName/>
        <AccountId xsi:nil="true"/>
        <AccountType/>
      </UserInfo>
    </Leaders>
    <Templates xmlns="7ad69e31-f0bd-42d4-87d4-1be2377d378d" xsi:nil="true"/>
    <Invited_Leaders xmlns="7ad69e31-f0bd-42d4-87d4-1be2377d378d" xsi:nil="true"/>
    <Owner xmlns="7ad69e31-f0bd-42d4-87d4-1be2377d378d">
      <UserInfo>
        <DisplayName/>
        <AccountId xsi:nil="true"/>
        <AccountType/>
      </UserInfo>
    </Owner>
    <AppVersion xmlns="7ad69e31-f0bd-42d4-87d4-1be2377d378d" xsi:nil="true"/>
    <TeamsChannelId xmlns="7ad69e31-f0bd-42d4-87d4-1be2377d378d" xsi:nil="true"/>
    <Distribution_Groups xmlns="7ad69e31-f0bd-42d4-87d4-1be2377d378d" xsi:nil="true"/>
    <Math_Settings xmlns="7ad69e31-f0bd-42d4-87d4-1be2377d37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D06805C9F7844585330E6153C4CD94" ma:contentTypeVersion="36" ma:contentTypeDescription="Een nieuw document maken." ma:contentTypeScope="" ma:versionID="175dc5f16a4ff2bed1decb2316cdf0c6">
  <xsd:schema xmlns:xsd="http://www.w3.org/2001/XMLSchema" xmlns:xs="http://www.w3.org/2001/XMLSchema" xmlns:p="http://schemas.microsoft.com/office/2006/metadata/properties" xmlns:ns2="7ad69e31-f0bd-42d4-87d4-1be2377d378d" xmlns:ns3="f1a56d87-30b2-44cb-ae45-9947631b6f04" targetNamespace="http://schemas.microsoft.com/office/2006/metadata/properties" ma:root="true" ma:fieldsID="4d41ccfe662cc24f9990c318cb63314f" ns2:_="" ns3:_="">
    <xsd:import namespace="7ad69e31-f0bd-42d4-87d4-1be2377d378d"/>
    <xsd:import namespace="f1a56d87-30b2-44cb-ae45-9947631b6f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69e31-f0bd-42d4-87d4-1be2377d3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msChannelId" ma:index="14" nillable="true" ma:displayName="Teams Channel Id" ma:internalName="TeamsChannelId">
      <xsd:simpleType>
        <xsd:restriction base="dms:Text"/>
      </xsd:simpleType>
    </xsd:element>
    <xsd:element name="Owner" ma:index="1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6" nillable="true" ma:displayName="Math Settings" ma:internalName="Math_Settings">
      <xsd:simpleType>
        <xsd:restriction base="dms:Text"/>
      </xsd:simpleType>
    </xsd:element>
    <xsd:element name="DefaultSectionNames" ma:index="1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8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9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0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1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Teams_Channel_Section_Location" ma:index="30" nillable="true" ma:displayName="Teams Channel Section Location" ma:internalName="Teams_Channel_Section_Location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7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6d87-30b2-44cb-ae45-9947631b6f04" elementFormDefault="qualified">
    <xsd:import namespace="http://schemas.microsoft.com/office/2006/documentManagement/types"/>
    <xsd:import namespace="http://schemas.microsoft.com/office/infopath/2007/PartnerControls"/>
    <xsd:element name="TaxCatchAll" ma:index="38" nillable="true" ma:displayName="Taxonomy Catch All Column" ma:hidden="true" ma:list="{24e2735c-7d7c-4ca9-8d3d-4939324fc396}" ma:internalName="TaxCatchAll" ma:showField="CatchAllData" ma:web="f1a56d87-30b2-44cb-ae45-9947631b6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purl.org/dc/dcmitype/"/>
    <ds:schemaRef ds:uri="http://purl.org/dc/elements/1.1/"/>
    <ds:schemaRef ds:uri="http://schemas.microsoft.com/office/2006/documentManagement/types"/>
    <ds:schemaRef ds:uri="7ad69e31-f0bd-42d4-87d4-1be2377d378d"/>
    <ds:schemaRef ds:uri="f1a56d87-30b2-44cb-ae45-9947631b6f0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973F71-C58C-44E9-8D24-80EE69057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69e31-f0bd-42d4-87d4-1be2377d378d"/>
    <ds:schemaRef ds:uri="f1a56d87-30b2-44cb-ae45-9947631b6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2024-09-03T11:20:20Z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